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<sst xmlns="http://schemas.openxmlformats.org/spreadsheetml/2006/main" count="376" uniqueCount="140">
  <si>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</si>
  <si>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</si>
  <si>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</si>
  <si>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</si>
  <si>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</si>
  <si>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</si>
  <si>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</si>
  <si>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</si>
  <si>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</si>
  <si>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</si>
  <si>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</si>
  <si>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</si>
  <si>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</si>
  <si>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</si>
  <si>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</si>
  <si>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</si>
  <si>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</si>
  <si>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</si>
  <si>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</si>
  <si>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</si>
  <si>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</si>
  <si>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</si>
  <si>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</si>
  <si>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</si>
  <si>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</si>
  <si>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</si>
  <si>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</si>
  <si>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</si>
  <si>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</si>
  <si>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</si>
  <si>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</si>
  <si>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</si>
  <si>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</si>
  <si>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</si>
  <si>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</si>
  <si>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</si>
  <si>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</si>
  <si>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</si>
  <si>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</si>
  <si>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</si>
  <si>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</si>
  <si>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</si>
  <si>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</si>
  <si>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</si>
  <si>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</si>
  <si>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</si>
  <si>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</si>
  <si>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</si>
  <si>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</si>
  <si>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</si>
  <si>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</si>
  <si>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</si>
  <si>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</si>
  <si>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</si>
  <si>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</si>
  <si>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</si>
  <si>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</si>
  <si>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</si>
  <si>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</si>
  <si>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</si>
  <si>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</si>
  <si>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</si>
  <si>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</si>
  <si>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</si>
  <si>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</si>
  <si>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</si>
  <si>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</si>
  <si>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</si>
  <si>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</si>
  <si>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</si>
  <si>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</si>
  <si>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</si>
  <si>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</si>
  <si>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</si>
  <si>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</si>
  <si>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</si>
  <si>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</si>
  <si>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</si>
  <si>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</si>
  <si>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</si>
  <si>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</si>
  <si>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</si>
  <si>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</si>
  <si>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</si>
  <si>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</si>
  <si>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</si>
  <si>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</si>
  <si>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</si>
  <si>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</si>
  <si>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</si>
  <si>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</si>
  <si>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</si>
  <si>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</si>
  <si>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</si>
  <si>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</si>
  <si>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</si>
  <si>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</si>
  <si>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</si>
  <si>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</si>
  <si>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</si>
  <si>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</si>
  <si>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</si>
  <si>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</si>
  <si>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</si>
  <si>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</si>
  <si>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</si>
  <si>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</si>
  <si>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</si>
  <si>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</si>
  <si>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</si>
  <si>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</si>
  <si>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</si>
  <si>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</si>
  <si>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</si>
  <si>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</si>
  <si>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</si>
  <si>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</si>
  <si>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</si>
  <si>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</si>
  <si>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</si>
  <si>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</si>
  <si>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</si>
  <si>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</si>
  <si>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</si>
  <si>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</si>
  <si>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</si>
  <si>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</si>
  <si>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</si>
  <si>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</si>
  <si>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</si>
  <si>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</si>
  <si>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</si>
  <si>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</si>
  <si>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</si>
  <si>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</si>
  <si>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</si>
  <si>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</si>
  <si>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</si>
  <si>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</si>
  <si>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22.02.16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</si>
</sst>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138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/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128</v>
      </c>
      <c r="N3" s="217" t="s">
        <v>119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127</v>
      </c>
      <c r="F4" s="200" t="s">
        <v>34</v>
      </c>
      <c r="G4" s="194" t="s">
        <v>116</v>
      </c>
      <c r="H4" s="202" t="s">
        <v>117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04" t="s">
        <v>139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118</v>
      </c>
      <c r="L5" s="198"/>
      <c r="M5" s="203"/>
      <c r="N5" s="205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112431.7</v>
      </c>
      <c r="G8" s="15">
        <f aca="true" t="shared" si="0" ref="G8:G21">F8-E8</f>
        <v>-10281.069999999992</v>
      </c>
      <c r="H8" s="38">
        <f>F8/E8*100</f>
        <v>91.62184180179456</v>
      </c>
      <c r="I8" s="28">
        <f>F8-D8</f>
        <v>-728618.3</v>
      </c>
      <c r="J8" s="28">
        <f>F8/D8*100</f>
        <v>13.368016170263362</v>
      </c>
      <c r="K8" s="15">
        <f>K9+K15+K18+K19+K20+K32</f>
        <v>21077.239999999994</v>
      </c>
      <c r="L8" s="15">
        <f>F8/91354.4*100</f>
        <v>123.07201404639514</v>
      </c>
      <c r="M8" s="15">
        <f>M9+M15+M18+M19+M20+M32+M17</f>
        <v>62152</v>
      </c>
      <c r="N8" s="15">
        <f>N9+N15+N18+N19+N20+N32+N17</f>
        <v>51851.07</v>
      </c>
      <c r="O8" s="15">
        <f>N8-M8</f>
        <v>-10300.93</v>
      </c>
      <c r="P8" s="15">
        <f>N8/M8*100</f>
        <v>83.426229244433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57429.68</v>
      </c>
      <c r="G9" s="36">
        <f t="shared" si="0"/>
        <v>-3160.584999999999</v>
      </c>
      <c r="H9" s="32">
        <f>F9/E9*100</f>
        <v>94.78367523231661</v>
      </c>
      <c r="I9" s="42">
        <f>F9-D9</f>
        <v>-402270.32</v>
      </c>
      <c r="J9" s="42">
        <f>F9/D9*100</f>
        <v>12.492860561235588</v>
      </c>
      <c r="K9" s="106">
        <f>F9-49687.49</f>
        <v>7742.190000000002</v>
      </c>
      <c r="L9" s="106">
        <f>F9/49687.49*100</f>
        <v>115.58176917368941</v>
      </c>
      <c r="M9" s="32">
        <v>30377</v>
      </c>
      <c r="N9" s="178">
        <f>F9-січень!F9</f>
        <v>27216.41</v>
      </c>
      <c r="O9" s="40">
        <f>N9-M9</f>
        <v>-3160.59</v>
      </c>
      <c r="P9" s="42">
        <f>N9/M9*100</f>
        <v>89.59545050531652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51472.92</v>
      </c>
      <c r="G10" s="109">
        <f t="shared" si="0"/>
        <v>-2900.9199999999983</v>
      </c>
      <c r="H10" s="32">
        <f aca="true" t="shared" si="1" ref="H10:H18">F10/E10*100</f>
        <v>94.6648608963428</v>
      </c>
      <c r="I10" s="110">
        <f aca="true" t="shared" si="2" ref="I10:I32">F10-D10</f>
        <v>-359967.08</v>
      </c>
      <c r="J10" s="110">
        <f aca="true" t="shared" si="3" ref="J10:J31">F10/D10*100</f>
        <v>12.510431654676257</v>
      </c>
      <c r="K10" s="112">
        <f>F10-43781.83</f>
        <v>7691.0899999999965</v>
      </c>
      <c r="L10" s="112">
        <f>F10/43781.83*100</f>
        <v>117.56685364682107</v>
      </c>
      <c r="M10" s="111">
        <v>27490</v>
      </c>
      <c r="N10" s="179">
        <f>F10-січень!F10</f>
        <v>24589.079999999998</v>
      </c>
      <c r="O10" s="112">
        <f aca="true" t="shared" si="4" ref="O10:O32">N10-M10</f>
        <v>-2900.920000000002</v>
      </c>
      <c r="P10" s="42">
        <f aca="true" t="shared" si="5" ref="P10:P18">N10/M10*100</f>
        <v>89.44736267733721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3410.06</v>
      </c>
      <c r="G11" s="109">
        <f t="shared" si="0"/>
        <v>-524.8800000000001</v>
      </c>
      <c r="H11" s="32">
        <f t="shared" si="1"/>
        <v>86.661041845619</v>
      </c>
      <c r="I11" s="110">
        <f t="shared" si="2"/>
        <v>-19589.94</v>
      </c>
      <c r="J11" s="110">
        <f t="shared" si="3"/>
        <v>14.826347826086955</v>
      </c>
      <c r="K11" s="112">
        <f>F11-3453.77</f>
        <v>-43.710000000000036</v>
      </c>
      <c r="L11" s="112">
        <f>F11/3453.77*100</f>
        <v>98.73442643835577</v>
      </c>
      <c r="M11" s="111">
        <v>1250</v>
      </c>
      <c r="N11" s="179">
        <f>F11-січень!F11</f>
        <v>725.1199999999999</v>
      </c>
      <c r="O11" s="112">
        <f t="shared" si="4"/>
        <v>-524.8800000000001</v>
      </c>
      <c r="P11" s="42">
        <f t="shared" si="5"/>
        <v>58.00959999999999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748.32</v>
      </c>
      <c r="G12" s="109">
        <f t="shared" si="0"/>
        <v>122.71000000000004</v>
      </c>
      <c r="H12" s="32">
        <f t="shared" si="1"/>
        <v>119.61445629066031</v>
      </c>
      <c r="I12" s="110">
        <f t="shared" si="2"/>
        <v>-5751.68</v>
      </c>
      <c r="J12" s="110">
        <f t="shared" si="3"/>
        <v>11.512615384615385</v>
      </c>
      <c r="K12" s="112">
        <f>F12-805.51</f>
        <v>-57.18999999999994</v>
      </c>
      <c r="L12" s="112">
        <f>F12/805.51*100</f>
        <v>92.90015021539149</v>
      </c>
      <c r="M12" s="111">
        <v>192</v>
      </c>
      <c r="N12" s="179">
        <f>F12-січень!F12</f>
        <v>314.71000000000004</v>
      </c>
      <c r="O12" s="112">
        <f t="shared" si="4"/>
        <v>122.71000000000004</v>
      </c>
      <c r="P12" s="42">
        <f t="shared" si="5"/>
        <v>163.91145833333337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1343.41</v>
      </c>
      <c r="G13" s="109">
        <f t="shared" si="0"/>
        <v>313.57500000000005</v>
      </c>
      <c r="H13" s="32">
        <f t="shared" si="1"/>
        <v>130.44905251812185</v>
      </c>
      <c r="I13" s="110">
        <f t="shared" si="2"/>
        <v>-11056.59</v>
      </c>
      <c r="J13" s="110">
        <f t="shared" si="3"/>
        <v>10.833951612903228</v>
      </c>
      <c r="K13" s="112">
        <f>F13-707.92</f>
        <v>635.4900000000001</v>
      </c>
      <c r="L13" s="112">
        <f>F13/707.92*100</f>
        <v>189.76861792292917</v>
      </c>
      <c r="M13" s="111">
        <v>820</v>
      </c>
      <c r="N13" s="179">
        <f>F13-січень!F13</f>
        <v>1133.5700000000002</v>
      </c>
      <c r="O13" s="112">
        <f t="shared" si="4"/>
        <v>313.57000000000016</v>
      </c>
      <c r="P13" s="42">
        <f t="shared" si="5"/>
        <v>138.24024390243906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83.31</v>
      </c>
      <c r="G15" s="36">
        <f t="shared" si="0"/>
        <v>83.31</v>
      </c>
      <c r="H15" s="32"/>
      <c r="I15" s="42">
        <f t="shared" si="2"/>
        <v>-416.69</v>
      </c>
      <c r="J15" s="42">
        <f t="shared" si="3"/>
        <v>16.662000000000003</v>
      </c>
      <c r="K15" s="43">
        <f>F15-(-976.48)</f>
        <v>1059.79</v>
      </c>
      <c r="L15" s="43">
        <f>F15/(-976.48)*100</f>
        <v>-8.531664755038506</v>
      </c>
      <c r="M15" s="32">
        <v>0</v>
      </c>
      <c r="N15" s="178">
        <f>F15-січень!F15</f>
        <v>83.31</v>
      </c>
      <c r="O15" s="40">
        <f t="shared" si="4"/>
        <v>83.31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6090.66</v>
      </c>
      <c r="G19" s="36">
        <f t="shared" si="0"/>
        <v>-5969.74</v>
      </c>
      <c r="H19" s="32">
        <f aca="true" t="shared" si="6" ref="H19:H31">F19/E19*100</f>
        <v>50.50131007263441</v>
      </c>
      <c r="I19" s="42">
        <f t="shared" si="2"/>
        <v>-103809.34</v>
      </c>
      <c r="J19" s="42">
        <f t="shared" si="3"/>
        <v>5.542001819836215</v>
      </c>
      <c r="K19" s="133">
        <f>F19-3525.13</f>
        <v>2565.5299999999997</v>
      </c>
      <c r="L19" s="40">
        <f>F19/3525.13*100</f>
        <v>172.7783088850624</v>
      </c>
      <c r="M19" s="32">
        <v>6500</v>
      </c>
      <c r="N19" s="178">
        <f>F19-січень!F19</f>
        <v>530.2600000000002</v>
      </c>
      <c r="O19" s="40">
        <f t="shared" si="4"/>
        <v>-5969.74</v>
      </c>
      <c r="P19" s="42">
        <f aca="true" t="shared" si="7" ref="P19:P25">N19/M19*100</f>
        <v>8.157846153846156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48722.2</v>
      </c>
      <c r="G20" s="36">
        <f t="shared" si="0"/>
        <v>-1329.9049999999988</v>
      </c>
      <c r="H20" s="32">
        <f t="shared" si="6"/>
        <v>97.34295890252767</v>
      </c>
      <c r="I20" s="42">
        <f t="shared" si="2"/>
        <v>-222217.8</v>
      </c>
      <c r="J20" s="42">
        <f t="shared" si="3"/>
        <v>17.982652985900938</v>
      </c>
      <c r="K20" s="132">
        <f>F20-37103.23</f>
        <v>11618.969999999994</v>
      </c>
      <c r="L20" s="110">
        <f>F20/37103.23*100</f>
        <v>131.3152520683509</v>
      </c>
      <c r="M20" s="32">
        <f>M21+M25+M26+M27</f>
        <v>25265</v>
      </c>
      <c r="N20" s="178">
        <f>F20-січень!F20</f>
        <v>23925.139999999996</v>
      </c>
      <c r="O20" s="40">
        <f t="shared" si="4"/>
        <v>-1339.8600000000042</v>
      </c>
      <c r="P20" s="42">
        <f t="shared" si="7"/>
        <v>94.69677419354838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15943.9</v>
      </c>
      <c r="G21" s="36">
        <f t="shared" si="0"/>
        <v>-7552.359999999999</v>
      </c>
      <c r="H21" s="32">
        <f t="shared" si="6"/>
        <v>67.85718237711023</v>
      </c>
      <c r="I21" s="42">
        <f t="shared" si="2"/>
        <v>-145456.1</v>
      </c>
      <c r="J21" s="42">
        <f t="shared" si="3"/>
        <v>9.878500619578686</v>
      </c>
      <c r="K21" s="132">
        <f>F21-15266.79</f>
        <v>677.1099999999988</v>
      </c>
      <c r="L21" s="110">
        <f>F21/15266.79*100</f>
        <v>104.4351825105343</v>
      </c>
      <c r="M21" s="32">
        <f>M22+M23+M24</f>
        <v>11597</v>
      </c>
      <c r="N21" s="178">
        <f>F21-січень!F21</f>
        <v>4044.6000000000004</v>
      </c>
      <c r="O21" s="40">
        <f t="shared" si="4"/>
        <v>-7552.4</v>
      </c>
      <c r="P21" s="42">
        <f t="shared" si="7"/>
        <v>34.876261102009146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3370.78</v>
      </c>
      <c r="G22" s="109">
        <f>F22-E22</f>
        <v>79.18000000000029</v>
      </c>
      <c r="H22" s="111">
        <f t="shared" si="6"/>
        <v>102.40551707376353</v>
      </c>
      <c r="I22" s="110">
        <f t="shared" si="2"/>
        <v>-15129.22</v>
      </c>
      <c r="J22" s="110">
        <f t="shared" si="3"/>
        <v>18.220432432432435</v>
      </c>
      <c r="K22" s="110">
        <f>F22-306.01</f>
        <v>3064.7700000000004</v>
      </c>
      <c r="L22" s="110">
        <f>F22/306.01*100</f>
        <v>1101.5260939184993</v>
      </c>
      <c r="M22" s="111">
        <v>242</v>
      </c>
      <c r="N22" s="179">
        <f>F22-січень!F22</f>
        <v>321.1800000000003</v>
      </c>
      <c r="O22" s="112">
        <f t="shared" si="4"/>
        <v>79.18000000000029</v>
      </c>
      <c r="P22" s="110">
        <f t="shared" si="7"/>
        <v>132.71900826446293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12400.99</v>
      </c>
      <c r="G24" s="109">
        <f>F24-E24</f>
        <v>-7601.83</v>
      </c>
      <c r="H24" s="111">
        <f t="shared" si="6"/>
        <v>61.99620853459662</v>
      </c>
      <c r="I24" s="110">
        <f t="shared" si="2"/>
        <v>-127699.01</v>
      </c>
      <c r="J24" s="110">
        <f t="shared" si="3"/>
        <v>8.851527480371162</v>
      </c>
      <c r="K24" s="174">
        <f>F24-14954.53</f>
        <v>-2553.540000000001</v>
      </c>
      <c r="L24" s="174">
        <f>F24/14954.53*100</f>
        <v>82.92463888868457</v>
      </c>
      <c r="M24" s="111">
        <v>11310</v>
      </c>
      <c r="N24" s="179">
        <f>F24-січень!F24</f>
        <v>3708.16</v>
      </c>
      <c r="O24" s="112">
        <f t="shared" si="4"/>
        <v>-7601.84</v>
      </c>
      <c r="P24" s="110">
        <f t="shared" si="7"/>
        <v>32.78656056587091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19.81</v>
      </c>
      <c r="G25" s="36">
        <f>F25-E25</f>
        <v>9.204999999999998</v>
      </c>
      <c r="H25" s="32">
        <f t="shared" si="6"/>
        <v>186.79867986798678</v>
      </c>
      <c r="I25" s="42">
        <f t="shared" si="2"/>
        <v>-57.19</v>
      </c>
      <c r="J25" s="42">
        <f t="shared" si="3"/>
        <v>25.727272727272727</v>
      </c>
      <c r="K25" s="132">
        <f>F25-14.22</f>
        <v>5.589999999999998</v>
      </c>
      <c r="L25" s="132">
        <f>F25/14.22*100</f>
        <v>139.31082981715892</v>
      </c>
      <c r="M25" s="32">
        <v>8</v>
      </c>
      <c r="N25" s="178">
        <f>F25-січень!F25</f>
        <v>17.2</v>
      </c>
      <c r="O25" s="40">
        <f t="shared" si="4"/>
        <v>9.2</v>
      </c>
      <c r="P25" s="42">
        <f t="shared" si="7"/>
        <v>215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-51.96</v>
      </c>
      <c r="G26" s="36">
        <f aca="true" t="shared" si="8" ref="G26:G32">F26-E26</f>
        <v>-51.96</v>
      </c>
      <c r="H26" s="32"/>
      <c r="I26" s="42">
        <f t="shared" si="2"/>
        <v>-51.96</v>
      </c>
      <c r="J26" s="42"/>
      <c r="K26" s="132">
        <f>F26-87.67</f>
        <v>-139.63</v>
      </c>
      <c r="L26" s="132">
        <f>F26/87.67*100</f>
        <v>-59.2677084521501</v>
      </c>
      <c r="M26" s="32">
        <f>E26-січень!E26</f>
        <v>0</v>
      </c>
      <c r="N26" s="178">
        <f>F26-січень!F26</f>
        <v>-51.61</v>
      </c>
      <c r="O26" s="40">
        <f t="shared" si="4"/>
        <v>-51.61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32810.45</v>
      </c>
      <c r="G27" s="36">
        <f t="shared" si="8"/>
        <v>6265.2099999999955</v>
      </c>
      <c r="H27" s="32">
        <f t="shared" si="6"/>
        <v>123.60200924911584</v>
      </c>
      <c r="I27" s="42">
        <f t="shared" si="2"/>
        <v>-76652.55</v>
      </c>
      <c r="J27" s="42">
        <f t="shared" si="3"/>
        <v>29.97400948265624</v>
      </c>
      <c r="K27" s="106">
        <f>F27-21734.55</f>
        <v>11075.899999999998</v>
      </c>
      <c r="L27" s="106">
        <f>F27/21734.55*100</f>
        <v>150.95987724613576</v>
      </c>
      <c r="M27" s="32">
        <v>13660</v>
      </c>
      <c r="N27" s="178">
        <f>F27-січень!F27</f>
        <v>19914.949999999997</v>
      </c>
      <c r="O27" s="40">
        <f t="shared" si="4"/>
        <v>6254.949999999997</v>
      </c>
      <c r="P27" s="42">
        <f>N27/M27*100</f>
        <v>145.79026354319177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8609.61</v>
      </c>
      <c r="G29" s="109">
        <f t="shared" si="8"/>
        <v>2953.6400000000003</v>
      </c>
      <c r="H29" s="111">
        <f t="shared" si="6"/>
        <v>152.22163483894008</v>
      </c>
      <c r="I29" s="110">
        <f t="shared" si="2"/>
        <v>-18990.39</v>
      </c>
      <c r="J29" s="110">
        <f t="shared" si="3"/>
        <v>31.194239130434788</v>
      </c>
      <c r="K29" s="142">
        <f>F29-5853.24</f>
        <v>2756.370000000001</v>
      </c>
      <c r="L29" s="142">
        <f>F29/5853.24*100</f>
        <v>147.09135453184905</v>
      </c>
      <c r="M29" s="111">
        <v>3500</v>
      </c>
      <c r="N29" s="179">
        <f>F29-січень!F29</f>
        <v>6453.640000000001</v>
      </c>
      <c r="O29" s="112">
        <f t="shared" si="4"/>
        <v>2953.6400000000012</v>
      </c>
      <c r="P29" s="110">
        <f>N29/M29*100</f>
        <v>184.38971428571432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24193.27</v>
      </c>
      <c r="G30" s="109">
        <f t="shared" si="8"/>
        <v>3307.1899999999987</v>
      </c>
      <c r="H30" s="111">
        <f t="shared" si="6"/>
        <v>115.83442177756669</v>
      </c>
      <c r="I30" s="110">
        <f t="shared" si="2"/>
        <v>-57618.729999999996</v>
      </c>
      <c r="J30" s="110">
        <f t="shared" si="3"/>
        <v>29.571786534982643</v>
      </c>
      <c r="K30" s="142">
        <f>F30-15877.68</f>
        <v>8315.59</v>
      </c>
      <c r="L30" s="142">
        <f>F30/15877.68*100</f>
        <v>152.37282776828857</v>
      </c>
      <c r="M30" s="111">
        <v>10160</v>
      </c>
      <c r="N30" s="179">
        <f>F30-січень!F30</f>
        <v>13456.93</v>
      </c>
      <c r="O30" s="112">
        <f t="shared" si="4"/>
        <v>3296.9300000000003</v>
      </c>
      <c r="P30" s="110">
        <f>N30/M30*100</f>
        <v>132.45009842519687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4508.36</v>
      </c>
      <c r="G33" s="15">
        <f>G34+G35+G36+G37+G38+G39+G41+G42+G43+G44+G45+G50+G51+G55</f>
        <v>-426.66600000000017</v>
      </c>
      <c r="H33" s="38">
        <f>F33/E33*100</f>
        <v>91.35433126390822</v>
      </c>
      <c r="I33" s="28">
        <f>F33-D33</f>
        <v>-38311.64</v>
      </c>
      <c r="J33" s="28">
        <f>F33/D33*100</f>
        <v>10.528631480616534</v>
      </c>
      <c r="K33" s="15">
        <f>F33-4883.7</f>
        <v>-375.34000000000015</v>
      </c>
      <c r="L33" s="15">
        <f>F33/4883.7*100</f>
        <v>92.3144337285255</v>
      </c>
      <c r="M33" s="15">
        <f>M34+M35+M36+M37+M38+M39+M41+M42+M43+M44+M45+M50+M51+M55</f>
        <v>2907.3</v>
      </c>
      <c r="N33" s="15">
        <f>N34+N35+N36+N37+N38+N39+N41+N42+N43+N44+N45+N50+N51+N55</f>
        <v>2477.3900000000003</v>
      </c>
      <c r="O33" s="15">
        <f>O34+O35+O36+O37+O38+O39+O41+O42+O43+O44+O45+O50+O51+O55</f>
        <v>-429.91</v>
      </c>
      <c r="P33" s="15">
        <f>N33/M33*100</f>
        <v>85.21274034327384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-0.1</v>
      </c>
      <c r="G38" s="36">
        <f t="shared" si="11"/>
        <v>-20.1</v>
      </c>
      <c r="H38" s="32">
        <f t="shared" si="9"/>
        <v>-0.5</v>
      </c>
      <c r="I38" s="42">
        <f t="shared" si="12"/>
        <v>-150.1</v>
      </c>
      <c r="J38" s="42">
        <f t="shared" si="14"/>
        <v>-0.06666666666666668</v>
      </c>
      <c r="K38" s="42">
        <f>F38-16.83</f>
        <v>-16.93</v>
      </c>
      <c r="L38" s="42">
        <f>F38/16.83*100</f>
        <v>-0.5941770647653002</v>
      </c>
      <c r="M38" s="32">
        <v>10</v>
      </c>
      <c r="N38" s="178">
        <f>F38-січень!F38</f>
        <v>6.300000000000001</v>
      </c>
      <c r="O38" s="40">
        <f t="shared" si="13"/>
        <v>-3.6999999999999993</v>
      </c>
      <c r="P38" s="42">
        <f t="shared" si="10"/>
        <v>63.000000000000014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1131.27</v>
      </c>
      <c r="G41" s="36">
        <f t="shared" si="11"/>
        <v>-207.74500000000012</v>
      </c>
      <c r="H41" s="32">
        <f t="shared" si="9"/>
        <v>84.48523728262938</v>
      </c>
      <c r="I41" s="42">
        <f t="shared" si="12"/>
        <v>-8768.73</v>
      </c>
      <c r="J41" s="42">
        <f t="shared" si="14"/>
        <v>11.426969696969696</v>
      </c>
      <c r="K41" s="42">
        <f>F41-1559.47</f>
        <v>-428.20000000000005</v>
      </c>
      <c r="L41" s="42">
        <f>F41/1559.47*100</f>
        <v>72.54195335594785</v>
      </c>
      <c r="M41" s="32">
        <v>800</v>
      </c>
      <c r="N41" s="178">
        <f>F41-січень!F41</f>
        <v>592.25</v>
      </c>
      <c r="O41" s="40">
        <f t="shared" si="13"/>
        <v>-207.75</v>
      </c>
      <c r="P41" s="42">
        <f t="shared" si="10"/>
        <v>74.03125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</v>
      </c>
      <c r="G44" s="36">
        <f t="shared" si="11"/>
        <v>-62.930000000000064</v>
      </c>
      <c r="H44" s="32">
        <f t="shared" si="9"/>
        <v>95.39389414666637</v>
      </c>
      <c r="I44" s="42">
        <f t="shared" si="12"/>
        <v>-7196.7</v>
      </c>
      <c r="J44" s="42">
        <f t="shared" si="14"/>
        <v>15.332941176470587</v>
      </c>
      <c r="K44" s="42">
        <f>F44-1319.2</f>
        <v>-15.900000000000091</v>
      </c>
      <c r="L44" s="42">
        <f>F44/1319.2*100</f>
        <v>98.79472407519708</v>
      </c>
      <c r="M44" s="32">
        <v>650</v>
      </c>
      <c r="N44" s="178">
        <f>F44-січень!F44</f>
        <v>587.0699999999999</v>
      </c>
      <c r="O44" s="40">
        <f t="shared" si="13"/>
        <v>-62.930000000000064</v>
      </c>
      <c r="P44" s="42">
        <f t="shared" si="10"/>
        <v>90.31846153846152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846.38</v>
      </c>
      <c r="G45" s="36">
        <f t="shared" si="11"/>
        <v>-49.81000000000006</v>
      </c>
      <c r="H45" s="32">
        <f t="shared" si="9"/>
        <v>94.44202680235217</v>
      </c>
      <c r="I45" s="42">
        <f t="shared" si="12"/>
        <v>-6453.62</v>
      </c>
      <c r="J45" s="42">
        <f t="shared" si="14"/>
        <v>11.594246575342465</v>
      </c>
      <c r="K45" s="132">
        <f>F45-1398.47</f>
        <v>-552.09</v>
      </c>
      <c r="L45" s="132">
        <f>F45/1398.47*100</f>
        <v>60.52185602837387</v>
      </c>
      <c r="M45" s="152">
        <v>488</v>
      </c>
      <c r="N45" s="180">
        <f>F45-січень!F45</f>
        <v>438.18</v>
      </c>
      <c r="O45" s="40">
        <f t="shared" si="13"/>
        <v>-49.81999999999999</v>
      </c>
      <c r="P45" s="132">
        <f t="shared" si="10"/>
        <v>89.79098360655738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72.18</v>
      </c>
      <c r="G46" s="36">
        <f t="shared" si="11"/>
        <v>-40.80999999999999</v>
      </c>
      <c r="H46" s="32">
        <f t="shared" si="9"/>
        <v>63.88175944773875</v>
      </c>
      <c r="I46" s="110">
        <f t="shared" si="12"/>
        <v>-1027.82</v>
      </c>
      <c r="J46" s="42">
        <f t="shared" si="14"/>
        <v>6.561818181818182</v>
      </c>
      <c r="K46" s="110">
        <f>F46-139.45</f>
        <v>-67.26999999999998</v>
      </c>
      <c r="L46" s="110">
        <f>F46/139.45*100</f>
        <v>51.760487629974904</v>
      </c>
      <c r="M46" s="111">
        <v>87</v>
      </c>
      <c r="N46" s="179">
        <f>F46-січень!F46</f>
        <v>46.19000000000001</v>
      </c>
      <c r="O46" s="112">
        <f t="shared" si="13"/>
        <v>-40.80999999999999</v>
      </c>
      <c r="P46" s="132">
        <f t="shared" si="10"/>
        <v>53.09195402298852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0.07</v>
      </c>
      <c r="G47" s="36">
        <f t="shared" si="11"/>
        <v>-0.9649999999999999</v>
      </c>
      <c r="H47" s="32">
        <f t="shared" si="9"/>
        <v>6.76328502415459</v>
      </c>
      <c r="I47" s="110">
        <f t="shared" si="12"/>
        <v>-44.93</v>
      </c>
      <c r="J47" s="42">
        <f t="shared" si="14"/>
        <v>0.15555555555555556</v>
      </c>
      <c r="K47" s="110">
        <f>F47-1.07</f>
        <v>-1</v>
      </c>
      <c r="L47" s="110">
        <f>F47/1.27*100</f>
        <v>5.511811023622048</v>
      </c>
      <c r="M47" s="111">
        <v>1</v>
      </c>
      <c r="N47" s="179">
        <f>F47-січень!F47</f>
        <v>0.030000000000000006</v>
      </c>
      <c r="O47" s="112">
        <f t="shared" si="13"/>
        <v>-0.97</v>
      </c>
      <c r="P47" s="132">
        <f t="shared" si="10"/>
        <v>3.0000000000000004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774.13</v>
      </c>
      <c r="G49" s="36">
        <f t="shared" si="11"/>
        <v>-8.039999999999964</v>
      </c>
      <c r="H49" s="32">
        <f t="shared" si="9"/>
        <v>98.97209046626692</v>
      </c>
      <c r="I49" s="110">
        <f t="shared" si="12"/>
        <v>-5379.87</v>
      </c>
      <c r="J49" s="42">
        <f t="shared" si="14"/>
        <v>12.579298017549561</v>
      </c>
      <c r="K49" s="110">
        <f>F49-1257.34</f>
        <v>-483.2099999999999</v>
      </c>
      <c r="L49" s="110">
        <f>F49/1257.34*100</f>
        <v>61.56886760939763</v>
      </c>
      <c r="M49" s="111">
        <v>400</v>
      </c>
      <c r="N49" s="179">
        <f>F49-січень!F49</f>
        <v>391.96</v>
      </c>
      <c r="O49" s="112">
        <f t="shared" si="13"/>
        <v>-8.04000000000002</v>
      </c>
      <c r="P49" s="132">
        <f t="shared" si="10"/>
        <v>97.99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659.32</v>
      </c>
      <c r="G51" s="36">
        <f t="shared" si="11"/>
        <v>21.340000000000032</v>
      </c>
      <c r="H51" s="32">
        <f t="shared" si="9"/>
        <v>103.3449324430233</v>
      </c>
      <c r="I51" s="42">
        <f t="shared" si="12"/>
        <v>-4140.68</v>
      </c>
      <c r="J51" s="42">
        <f t="shared" si="14"/>
        <v>13.735833333333334</v>
      </c>
      <c r="K51" s="42">
        <f>F51-590.24</f>
        <v>69.08000000000004</v>
      </c>
      <c r="L51" s="42">
        <f>F51/590.24*100</f>
        <v>111.70371374356193</v>
      </c>
      <c r="M51" s="32">
        <v>320</v>
      </c>
      <c r="N51" s="178">
        <f>F51-січень!F51</f>
        <v>341.34000000000003</v>
      </c>
      <c r="O51" s="40">
        <f t="shared" si="13"/>
        <v>21.340000000000032</v>
      </c>
      <c r="P51" s="42">
        <f t="shared" si="10"/>
        <v>106.66875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142.1</v>
      </c>
      <c r="G53" s="36"/>
      <c r="H53" s="32"/>
      <c r="I53" s="42"/>
      <c r="J53" s="42"/>
      <c r="K53" s="112">
        <f>F53-142.7</f>
        <v>-0.5999999999999943</v>
      </c>
      <c r="L53" s="112">
        <f>F53/142.7*100</f>
        <v>99.57953749124037</v>
      </c>
      <c r="M53" s="111"/>
      <c r="N53" s="179">
        <f>F53-січень!F53</f>
        <v>71.89999999999999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116941.06</v>
      </c>
      <c r="G58" s="37">
        <f>F58-E58</f>
        <v>-10709.73599999999</v>
      </c>
      <c r="H58" s="38">
        <f>F58/E58*100</f>
        <v>91.61012987337737</v>
      </c>
      <c r="I58" s="28">
        <f>F58-D58</f>
        <v>-766959.54</v>
      </c>
      <c r="J58" s="28">
        <f>F58/D58*100</f>
        <v>13.230114336385787</v>
      </c>
      <c r="K58" s="28">
        <f>F58-96241.42</f>
        <v>20699.64</v>
      </c>
      <c r="L58" s="28">
        <f>F58/96241.42*100</f>
        <v>121.50803676836854</v>
      </c>
      <c r="M58" s="15">
        <f>M8+M33+M56+M57</f>
        <v>65061.3</v>
      </c>
      <c r="N58" s="15">
        <f>N8+N33+N56+N57</f>
        <v>54328.46</v>
      </c>
      <c r="O58" s="41">
        <f>N58-M58</f>
        <v>-10732.840000000004</v>
      </c>
      <c r="P58" s="28">
        <f>N58/M58*100</f>
        <v>83.5034959338347</v>
      </c>
      <c r="Q58" s="28">
        <f>N58-34768</f>
        <v>19560.46</v>
      </c>
      <c r="R58" s="128">
        <f>N58/34768</f>
        <v>1.5625995167970548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198.89</v>
      </c>
      <c r="G68" s="36">
        <f t="shared" si="15"/>
        <v>-933.5100000000001</v>
      </c>
      <c r="H68" s="32">
        <f>F68/E68*100</f>
        <v>17.563581773225007</v>
      </c>
      <c r="I68" s="43">
        <f t="shared" si="16"/>
        <v>-7260.11</v>
      </c>
      <c r="J68" s="43">
        <f>F68/D68*100</f>
        <v>2.666443222952138</v>
      </c>
      <c r="K68" s="43">
        <f>F68-414.12</f>
        <v>-215.23000000000002</v>
      </c>
      <c r="L68" s="43">
        <f>F68/414.12*100</f>
        <v>48.02714189123925</v>
      </c>
      <c r="M68" s="32">
        <v>1109.5</v>
      </c>
      <c r="N68" s="178">
        <f>F68-січень!F68</f>
        <v>175.98</v>
      </c>
      <c r="O68" s="40">
        <f t="shared" si="17"/>
        <v>-933.52</v>
      </c>
      <c r="P68" s="43">
        <f>N68/M68*100</f>
        <v>15.861198738170346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485.71</v>
      </c>
      <c r="G69" s="36">
        <f t="shared" si="15"/>
        <v>-99.14000000000004</v>
      </c>
      <c r="H69" s="32">
        <f>F69/E69*100</f>
        <v>83.04864495169701</v>
      </c>
      <c r="I69" s="43">
        <f t="shared" si="16"/>
        <v>-5514.29</v>
      </c>
      <c r="J69" s="43">
        <f>F69/D69*100</f>
        <v>8.095166666666666</v>
      </c>
      <c r="K69" s="43">
        <f>F69-(-1.6)</f>
        <v>487.31</v>
      </c>
      <c r="L69" s="43">
        <f>F69/(-1.6)*100</f>
        <v>-30356.874999999996</v>
      </c>
      <c r="M69" s="32">
        <v>302</v>
      </c>
      <c r="N69" s="178">
        <f>F69-січень!F69</f>
        <v>202.85999999999996</v>
      </c>
      <c r="O69" s="40">
        <f t="shared" si="17"/>
        <v>-99.14000000000004</v>
      </c>
      <c r="P69" s="43">
        <f>N69/M69*100</f>
        <v>67.17218543046356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686.67</v>
      </c>
      <c r="G71" s="45">
        <f t="shared" si="15"/>
        <v>-1032.58</v>
      </c>
      <c r="H71" s="52">
        <f>F71/E71*100</f>
        <v>39.94009015559109</v>
      </c>
      <c r="I71" s="44">
        <f t="shared" si="16"/>
        <v>-16984.33</v>
      </c>
      <c r="J71" s="44">
        <f>F71/D71*100</f>
        <v>3.8858581857280283</v>
      </c>
      <c r="K71" s="44">
        <f>F71-412.6</f>
        <v>274.06999999999994</v>
      </c>
      <c r="L71" s="44">
        <f>F71/412.6*100</f>
        <v>166.42510906446918</v>
      </c>
      <c r="M71" s="45">
        <f>M67+M68+M69+M70</f>
        <v>1412.5</v>
      </c>
      <c r="N71" s="183">
        <f>N67+N68+N69+N70</f>
        <v>379.8499999999999</v>
      </c>
      <c r="O71" s="44">
        <f t="shared" si="17"/>
        <v>-1032.65</v>
      </c>
      <c r="P71" s="44">
        <f>N71/M71*100</f>
        <v>26.892035398230078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2013.57</v>
      </c>
      <c r="G74" s="36">
        <f t="shared" si="15"/>
        <v>8.669999999999845</v>
      </c>
      <c r="H74" s="32">
        <f>F74/E74*100</f>
        <v>100.43244052072421</v>
      </c>
      <c r="I74" s="43">
        <f t="shared" si="16"/>
        <v>-7486.43</v>
      </c>
      <c r="J74" s="40">
        <f>F74/D74*100</f>
        <v>21.195473684210526</v>
      </c>
      <c r="K74" s="40">
        <f>F74-0</f>
        <v>2013.57</v>
      </c>
      <c r="L74" s="43"/>
      <c r="M74" s="32">
        <v>2004.9</v>
      </c>
      <c r="N74" s="178">
        <f>F74</f>
        <v>2013.57</v>
      </c>
      <c r="O74" s="40">
        <f>N74-M74</f>
        <v>8.669999999999845</v>
      </c>
      <c r="P74" s="46">
        <f>N74/M74*100</f>
        <v>100.43244052072421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2013.74</v>
      </c>
      <c r="G76" s="30">
        <f>G72+G75+G73+G74</f>
        <v>8.839999999999845</v>
      </c>
      <c r="H76" s="52">
        <f>F76/E76*100</f>
        <v>100.44091974662078</v>
      </c>
      <c r="I76" s="44">
        <f t="shared" si="16"/>
        <v>-7487.26</v>
      </c>
      <c r="J76" s="44">
        <f>F76/D76*100</f>
        <v>21.195032101884014</v>
      </c>
      <c r="K76" s="44">
        <f>F76-0.49</f>
        <v>2013.25</v>
      </c>
      <c r="L76" s="44">
        <f>F76/0.49*100</f>
        <v>410967.3469387755</v>
      </c>
      <c r="M76" s="45">
        <f>M72+M75+M73+M74</f>
        <v>2004.9</v>
      </c>
      <c r="N76" s="183">
        <f>N72+N75+N73+N74</f>
        <v>2013.62</v>
      </c>
      <c r="O76" s="45">
        <f>O72+O75+O73+O74</f>
        <v>8.719999999999846</v>
      </c>
      <c r="P76" s="44">
        <f>N76/M76*100</f>
        <v>100.4349344106938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2700.49</v>
      </c>
      <c r="G79" s="37">
        <f>F79-E79</f>
        <v>-1024.38</v>
      </c>
      <c r="H79" s="38">
        <f>F79/E79*100</f>
        <v>72.49890600208866</v>
      </c>
      <c r="I79" s="28">
        <f>F79-D79</f>
        <v>-24514.510000000002</v>
      </c>
      <c r="J79" s="28">
        <f>F79/D79*100</f>
        <v>9.922799926511114</v>
      </c>
      <c r="K79" s="28">
        <f>K65+K71+K76+K77</f>
        <v>2301.0899999999997</v>
      </c>
      <c r="L79" s="28">
        <f>F79/399.4*100</f>
        <v>676.1367050575864</v>
      </c>
      <c r="M79" s="24">
        <f>M65+M77+M71+M76</f>
        <v>3417.775</v>
      </c>
      <c r="N79" s="165">
        <f>N65+N77+N71+N76+N78</f>
        <v>2384.72</v>
      </c>
      <c r="O79" s="28">
        <f t="shared" si="17"/>
        <v>-1033.0550000000003</v>
      </c>
      <c r="P79" s="28">
        <f>N79/M79*100</f>
        <v>69.77404890608655</v>
      </c>
      <c r="Q79" s="28">
        <f>N79-8104.96</f>
        <v>-5720.24</v>
      </c>
      <c r="R79" s="101">
        <f>N79/8104.96</f>
        <v>0.2942297062539482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119641.55</v>
      </c>
      <c r="G80" s="37">
        <f>F80-E80</f>
        <v>-11734.115999999995</v>
      </c>
      <c r="H80" s="38">
        <f>F80/E80*100</f>
        <v>91.0682728717813</v>
      </c>
      <c r="I80" s="28">
        <f>F80-D80</f>
        <v>-791474.0499999999</v>
      </c>
      <c r="J80" s="28">
        <f>F80/D80*100</f>
        <v>13.131324938350305</v>
      </c>
      <c r="K80" s="28">
        <f>K58+K79</f>
        <v>23000.73</v>
      </c>
      <c r="L80" s="28">
        <f>F80/96640.82*100</f>
        <v>123.80022230771634</v>
      </c>
      <c r="M80" s="15">
        <f>M58+M79</f>
        <v>68479.075</v>
      </c>
      <c r="N80" s="15">
        <f>N58+N79</f>
        <v>56713.18</v>
      </c>
      <c r="O80" s="28">
        <f t="shared" si="17"/>
        <v>-11765.894999999997</v>
      </c>
      <c r="P80" s="28">
        <f>N80/M80*100</f>
        <v>82.81826236700773</v>
      </c>
      <c r="Q80" s="28">
        <f>N80-42872.96</f>
        <v>13840.220000000001</v>
      </c>
      <c r="R80" s="101">
        <f>N80/42872.96</f>
        <v>1.322819324814522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5</v>
      </c>
      <c r="D82" s="4" t="s">
        <v>36</v>
      </c>
    </row>
    <row r="83" spans="2:17" ht="30.75">
      <c r="B83" s="57" t="s">
        <v>54</v>
      </c>
      <c r="C83" s="31">
        <f>IF(O58&lt;0,ABS(O58/C82),0)</f>
        <v>2146.5680000000007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42422</v>
      </c>
      <c r="D84" s="31">
        <v>5174.5</v>
      </c>
      <c r="G84" s="4" t="s">
        <v>59</v>
      </c>
      <c r="N84" s="192"/>
      <c r="O84" s="192"/>
    </row>
    <row r="85" spans="3:15" ht="15">
      <c r="C85" s="87">
        <v>42419</v>
      </c>
      <c r="D85" s="31">
        <v>5144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42418</v>
      </c>
      <c r="D86" s="31">
        <v>4515.8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166.35563</v>
      </c>
      <c r="E88" s="74"/>
      <c r="F88" s="140" t="s">
        <v>137</v>
      </c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135</v>
      </c>
      <c r="C3" s="211" t="s">
        <v>0</v>
      </c>
      <c r="D3" s="212" t="s">
        <v>121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132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129</v>
      </c>
      <c r="F4" s="200" t="s">
        <v>34</v>
      </c>
      <c r="G4" s="194" t="s">
        <v>130</v>
      </c>
      <c r="H4" s="202" t="s">
        <v>131</v>
      </c>
      <c r="I4" s="194" t="s">
        <v>122</v>
      </c>
      <c r="J4" s="202" t="s">
        <v>123</v>
      </c>
      <c r="K4" s="91" t="s">
        <v>65</v>
      </c>
      <c r="L4" s="96" t="s">
        <v>64</v>
      </c>
      <c r="M4" s="202"/>
      <c r="N4" s="220" t="s">
        <v>133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92.25" customHeight="1">
      <c r="A5" s="209"/>
      <c r="B5" s="210"/>
      <c r="C5" s="211"/>
      <c r="D5" s="212"/>
      <c r="E5" s="219"/>
      <c r="F5" s="201"/>
      <c r="G5" s="195"/>
      <c r="H5" s="203"/>
      <c r="I5" s="195"/>
      <c r="J5" s="203"/>
      <c r="K5" s="197" t="s">
        <v>134</v>
      </c>
      <c r="L5" s="198"/>
      <c r="M5" s="203"/>
      <c r="N5" s="221"/>
      <c r="O5" s="195"/>
      <c r="P5" s="196"/>
      <c r="Q5" s="197" t="s">
        <v>120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199"/>
      <c r="H83" s="199"/>
      <c r="I83" s="199"/>
      <c r="J83" s="19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2"/>
      <c r="O84" s="192"/>
    </row>
    <row r="85" spans="3:15" ht="15">
      <c r="C85" s="87">
        <v>42397</v>
      </c>
      <c r="D85" s="31">
        <v>8685</v>
      </c>
      <c r="F85" s="124" t="s">
        <v>59</v>
      </c>
      <c r="G85" s="186"/>
      <c r="H85" s="186"/>
      <c r="I85" s="131"/>
      <c r="J85" s="189"/>
      <c r="K85" s="189"/>
      <c r="L85" s="189"/>
      <c r="M85" s="189"/>
      <c r="N85" s="192"/>
      <c r="O85" s="192"/>
    </row>
    <row r="86" spans="3:15" ht="15.75" customHeight="1">
      <c r="C86" s="87">
        <v>42396</v>
      </c>
      <c r="D86" s="31">
        <v>4820.3</v>
      </c>
      <c r="F86" s="73"/>
      <c r="G86" s="186"/>
      <c r="H86" s="186"/>
      <c r="I86" s="131"/>
      <c r="J86" s="193"/>
      <c r="K86" s="193"/>
      <c r="L86" s="193"/>
      <c r="M86" s="193"/>
      <c r="N86" s="192"/>
      <c r="O86" s="192"/>
    </row>
    <row r="87" spans="3:13" ht="15.75" customHeight="1">
      <c r="C87" s="87"/>
      <c r="F87" s="73"/>
      <c r="G87" s="188"/>
      <c r="H87" s="188"/>
      <c r="I87" s="139"/>
      <c r="J87" s="189"/>
      <c r="K87" s="189"/>
      <c r="L87" s="189"/>
      <c r="M87" s="189"/>
    </row>
    <row r="88" spans="2:13" ht="18.75" customHeight="1">
      <c r="B88" s="190" t="s">
        <v>57</v>
      </c>
      <c r="C88" s="191"/>
      <c r="D88" s="148">
        <v>300.92</v>
      </c>
      <c r="E88" s="74"/>
      <c r="F88" s="140"/>
      <c r="G88" s="186"/>
      <c r="H88" s="186"/>
      <c r="I88" s="141"/>
      <c r="J88" s="189"/>
      <c r="K88" s="189"/>
      <c r="L88" s="189"/>
      <c r="M88" s="189"/>
    </row>
    <row r="89" spans="6:12" ht="9.75" customHeight="1">
      <c r="F89" s="73"/>
      <c r="G89" s="186"/>
      <c r="H89" s="186"/>
      <c r="I89" s="73"/>
      <c r="J89" s="74"/>
      <c r="K89" s="74"/>
      <c r="L89" s="74"/>
    </row>
    <row r="90" spans="2:12" ht="22.5" customHeight="1" hidden="1">
      <c r="B90" s="184" t="s">
        <v>60</v>
      </c>
      <c r="C90" s="185"/>
      <c r="D90" s="86">
        <v>0</v>
      </c>
      <c r="E90" s="56" t="s">
        <v>24</v>
      </c>
      <c r="F90" s="73"/>
      <c r="G90" s="186"/>
      <c r="H90" s="18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6"/>
      <c r="O91" s="186"/>
    </row>
    <row r="92" spans="4:15" ht="15">
      <c r="D92" s="83"/>
      <c r="I92" s="31"/>
      <c r="N92" s="187"/>
      <c r="O92" s="187"/>
    </row>
    <row r="93" spans="14:15" ht="15">
      <c r="N93" s="186"/>
      <c r="O93" s="186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92"/>
      <c r="R1" s="93"/>
    </row>
    <row r="2" spans="2:18" s="1" customFormat="1" ht="15.75" customHeight="1">
      <c r="B2" s="207"/>
      <c r="C2" s="207"/>
      <c r="D2" s="207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08"/>
      <c r="B3" s="210" t="s">
        <v>136</v>
      </c>
      <c r="C3" s="211" t="s">
        <v>0</v>
      </c>
      <c r="D3" s="212" t="s">
        <v>115</v>
      </c>
      <c r="E3" s="34"/>
      <c r="F3" s="213" t="s">
        <v>26</v>
      </c>
      <c r="G3" s="214"/>
      <c r="H3" s="214"/>
      <c r="I3" s="214"/>
      <c r="J3" s="215"/>
      <c r="K3" s="89"/>
      <c r="L3" s="89"/>
      <c r="M3" s="216" t="s">
        <v>107</v>
      </c>
      <c r="N3" s="217" t="s">
        <v>66</v>
      </c>
      <c r="O3" s="217"/>
      <c r="P3" s="217"/>
      <c r="Q3" s="217"/>
      <c r="R3" s="217"/>
    </row>
    <row r="4" spans="1:18" ht="22.5" customHeight="1">
      <c r="A4" s="208"/>
      <c r="B4" s="210"/>
      <c r="C4" s="211"/>
      <c r="D4" s="212"/>
      <c r="E4" s="218" t="s">
        <v>104</v>
      </c>
      <c r="F4" s="222" t="s">
        <v>34</v>
      </c>
      <c r="G4" s="194" t="s">
        <v>109</v>
      </c>
      <c r="H4" s="202" t="s">
        <v>110</v>
      </c>
      <c r="I4" s="194" t="s">
        <v>105</v>
      </c>
      <c r="J4" s="202" t="s">
        <v>106</v>
      </c>
      <c r="K4" s="91" t="s">
        <v>65</v>
      </c>
      <c r="L4" s="96" t="s">
        <v>64</v>
      </c>
      <c r="M4" s="202"/>
      <c r="N4" s="220" t="s">
        <v>103</v>
      </c>
      <c r="O4" s="194" t="s">
        <v>50</v>
      </c>
      <c r="P4" s="196" t="s">
        <v>49</v>
      </c>
      <c r="Q4" s="97" t="s">
        <v>65</v>
      </c>
      <c r="R4" s="98" t="s">
        <v>64</v>
      </c>
    </row>
    <row r="5" spans="1:18" ht="76.5" customHeight="1">
      <c r="A5" s="209"/>
      <c r="B5" s="210"/>
      <c r="C5" s="211"/>
      <c r="D5" s="212"/>
      <c r="E5" s="219"/>
      <c r="F5" s="223"/>
      <c r="G5" s="195"/>
      <c r="H5" s="203"/>
      <c r="I5" s="195"/>
      <c r="J5" s="203"/>
      <c r="K5" s="197" t="s">
        <v>108</v>
      </c>
      <c r="L5" s="198"/>
      <c r="M5" s="203"/>
      <c r="N5" s="221"/>
      <c r="O5" s="195"/>
      <c r="P5" s="196"/>
      <c r="Q5" s="197" t="s">
        <v>126</v>
      </c>
      <c r="R5" s="19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99"/>
      <c r="H82" s="199"/>
      <c r="I82" s="199"/>
      <c r="J82" s="19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2"/>
      <c r="O83" s="192"/>
    </row>
    <row r="84" spans="3:15" ht="15">
      <c r="C84" s="87">
        <v>42397</v>
      </c>
      <c r="D84" s="31">
        <v>8685</v>
      </c>
      <c r="F84" s="166" t="s">
        <v>59</v>
      </c>
      <c r="G84" s="186"/>
      <c r="H84" s="186"/>
      <c r="I84" s="131"/>
      <c r="J84" s="189"/>
      <c r="K84" s="189"/>
      <c r="L84" s="189"/>
      <c r="M84" s="189"/>
      <c r="N84" s="192"/>
      <c r="O84" s="192"/>
    </row>
    <row r="85" spans="3:15" ht="15.75" customHeight="1">
      <c r="C85" s="87">
        <v>42396</v>
      </c>
      <c r="D85" s="31">
        <v>4820.3</v>
      </c>
      <c r="F85" s="167"/>
      <c r="G85" s="186"/>
      <c r="H85" s="186"/>
      <c r="I85" s="131"/>
      <c r="J85" s="193"/>
      <c r="K85" s="193"/>
      <c r="L85" s="193"/>
      <c r="M85" s="193"/>
      <c r="N85" s="192"/>
      <c r="O85" s="192"/>
    </row>
    <row r="86" spans="3:13" ht="15.75" customHeight="1">
      <c r="C86" s="87"/>
      <c r="F86" s="167"/>
      <c r="G86" s="188"/>
      <c r="H86" s="188"/>
      <c r="I86" s="139"/>
      <c r="J86" s="189"/>
      <c r="K86" s="189"/>
      <c r="L86" s="189"/>
      <c r="M86" s="189"/>
    </row>
    <row r="87" spans="2:13" ht="18.75" customHeight="1">
      <c r="B87" s="190" t="s">
        <v>57</v>
      </c>
      <c r="C87" s="191"/>
      <c r="D87" s="148">
        <v>300.92</v>
      </c>
      <c r="E87" s="74"/>
      <c r="F87" s="168"/>
      <c r="G87" s="186"/>
      <c r="H87" s="186"/>
      <c r="I87" s="141"/>
      <c r="J87" s="189"/>
      <c r="K87" s="189"/>
      <c r="L87" s="189"/>
      <c r="M87" s="189"/>
    </row>
    <row r="88" spans="6:12" ht="9.75" customHeight="1">
      <c r="F88" s="167"/>
      <c r="G88" s="186"/>
      <c r="H88" s="186"/>
      <c r="I88" s="73"/>
      <c r="J88" s="74"/>
      <c r="K88" s="74"/>
      <c r="L88" s="74"/>
    </row>
    <row r="89" spans="2:12" ht="22.5" customHeight="1" hidden="1">
      <c r="B89" s="184" t="s">
        <v>60</v>
      </c>
      <c r="C89" s="185"/>
      <c r="D89" s="86">
        <v>0</v>
      </c>
      <c r="E89" s="56" t="s">
        <v>24</v>
      </c>
      <c r="F89" s="167"/>
      <c r="G89" s="186"/>
      <c r="H89" s="186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6"/>
      <c r="O90" s="186"/>
    </row>
    <row r="91" spans="4:15" ht="15">
      <c r="D91" s="83"/>
      <c r="I91" s="31"/>
      <c r="N91" s="187"/>
      <c r="O91" s="187"/>
    </row>
    <row r="92" spans="14:15" ht="15">
      <c r="N92" s="186"/>
      <c r="O92" s="18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2016-02-23T13:04:15Z</cp:lastPrinted>
  <dcterms:created xsi:type="dcterms:W3CDTF">2003-07-28T11:27:56Z</dcterms:created>
  <dcterms:modified xsi:type="dcterms:W3CDTF">2016-02-23T13:13:51Z</dcterms:modified>
  <cp:category/>
  <cp:version/>
  <cp:contentType/>
  <cp:contentStatus/>
</cp:coreProperties>
</file>